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487bae77be381e8/[ISI]/proyectos/"/>
    </mc:Choice>
  </mc:AlternateContent>
  <xr:revisionPtr revIDLastSave="20" documentId="13_ncr:1_{3EA128D4-9968-4F16-8817-BD80B6D0FFDC}" xr6:coauthVersionLast="47" xr6:coauthVersionMax="47" xr10:uidLastSave="{FB849B4F-3221-4FF1-808F-B44F3C67136B}"/>
  <bookViews>
    <workbookView xWindow="-108" yWindow="-108" windowWidth="23256" windowHeight="12456" activeTab="1" xr2:uid="{00000000-000D-0000-FFFF-FFFF00000000}"/>
  </bookViews>
  <sheets>
    <sheet name="PRESUPUESTO" sheetId="1" r:id="rId1"/>
    <sheet name="Personal" sheetId="8" r:id="rId2"/>
    <sheet name="Amortizaciones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8" l="1"/>
  <c r="C11" i="8"/>
  <c r="C17" i="8" s="1"/>
  <c r="L18" i="8" s="1"/>
  <c r="G26" i="8"/>
  <c r="D22" i="8"/>
  <c r="D18" i="8"/>
  <c r="H23" i="8"/>
  <c r="G23" i="8"/>
  <c r="C6" i="9"/>
  <c r="C5" i="8"/>
  <c r="B16" i="1"/>
  <c r="B7" i="1"/>
  <c r="C18" i="8" l="1"/>
  <c r="C19" i="8" s="1"/>
  <c r="C12" i="8" s="1"/>
  <c r="C13" i="8" s="1"/>
  <c r="C6" i="8" s="1"/>
  <c r="C7" i="8" s="1"/>
  <c r="L22" i="8"/>
  <c r="L21" i="8"/>
  <c r="L19" i="8"/>
  <c r="L17" i="8"/>
  <c r="L20" i="8"/>
  <c r="C21" i="8"/>
  <c r="E5" i="8"/>
  <c r="B4" i="1"/>
  <c r="B21" i="1" s="1"/>
  <c r="L23" i="8" l="1"/>
  <c r="L24" i="8" s="1"/>
  <c r="D23" i="8" s="1"/>
  <c r="C23" i="8" s="1"/>
  <c r="C22" i="8"/>
  <c r="C14" i="1"/>
  <c r="C10" i="1"/>
  <c r="C5" i="1"/>
  <c r="C19" i="1"/>
  <c r="C20" i="1"/>
  <c r="C18" i="1"/>
  <c r="C17" i="1"/>
  <c r="C15" i="1"/>
  <c r="C13" i="1"/>
  <c r="C12" i="1"/>
  <c r="C11" i="1"/>
  <c r="C9" i="1"/>
  <c r="C6" i="1"/>
  <c r="C8" i="1"/>
  <c r="C7" i="1"/>
  <c r="B22" i="1"/>
  <c r="B23" i="1" s="1"/>
  <c r="C16" i="1"/>
  <c r="C24" i="8" l="1"/>
  <c r="C25" i="8" s="1"/>
  <c r="C4" i="1"/>
</calcChain>
</file>

<file path=xl/sharedStrings.xml><?xml version="1.0" encoding="utf-8"?>
<sst xmlns="http://schemas.openxmlformats.org/spreadsheetml/2006/main" count="83" uniqueCount="78">
  <si>
    <t>Software: adquisición, licencias y uso</t>
  </si>
  <si>
    <t>IVA (21%)</t>
  </si>
  <si>
    <t>1.2. Personal de nueva contratación</t>
  </si>
  <si>
    <t>1.- GASTOS DE PERSONAL</t>
  </si>
  <si>
    <t>2.- GASTOS DIRECTOS DE EJECUCIÓN</t>
  </si>
  <si>
    <t>Proyecto</t>
  </si>
  <si>
    <t>Título del proyecto</t>
  </si>
  <si>
    <t>Equipo</t>
  </si>
  <si>
    <t>Integrantes del equipo del proyecto</t>
  </si>
  <si>
    <t>1.1. Personal de plantilla</t>
  </si>
  <si>
    <t>Alquiler de instalaciones</t>
  </si>
  <si>
    <t>3.- GASTOS COMPLEMENTARIOS</t>
  </si>
  <si>
    <t>Consultoría (asesoramiento técnico)</t>
  </si>
  <si>
    <t>Contratos de suministros</t>
  </si>
  <si>
    <t>Viajes, estancias y dietas</t>
  </si>
  <si>
    <t>Material de difusión y promoción</t>
  </si>
  <si>
    <t>Inscripción en cursos y congresos</t>
  </si>
  <si>
    <t>Otros gastos</t>
  </si>
  <si>
    <t>TOTAL (BASE IMPONIBLE, 1+2+3)</t>
  </si>
  <si>
    <t>IMPORTE (I.V.A. INCLUIDO)</t>
  </si>
  <si>
    <t>Adquisición de material fungible (p.ej. material de oficina)</t>
  </si>
  <si>
    <t>Material inventariable: Adquisición de aparatos y equipos</t>
  </si>
  <si>
    <t>Material inventariable: Amortización de aparatos y equipos</t>
  </si>
  <si>
    <t>Material inventariable: Alquiler de aparatos y equipos</t>
  </si>
  <si>
    <t>Duración del proyecto</t>
  </si>
  <si>
    <t>meses</t>
  </si>
  <si>
    <t>Miembros del equipo</t>
  </si>
  <si>
    <t>personas</t>
  </si>
  <si>
    <t>Esfuerzo requerido</t>
  </si>
  <si>
    <t>personas·mes</t>
  </si>
  <si>
    <t>personas·año</t>
  </si>
  <si>
    <t>Coste salarial</t>
  </si>
  <si>
    <t>€/persona·mes</t>
  </si>
  <si>
    <t>Gastos de personal</t>
  </si>
  <si>
    <t>Coste del equipo</t>
  </si>
  <si>
    <t>Período de amortización</t>
  </si>
  <si>
    <t>p.ej. de 3 a 5 años para el material informático, 10 años para el mobiliario de oficina</t>
  </si>
  <si>
    <t>Coste amortizable en el proyecto</t>
  </si>
  <si>
    <t>imputable 100% al proyecto</t>
  </si>
  <si>
    <t>ver "Personal"</t>
  </si>
  <si>
    <t>ver "Amortizaciones"</t>
  </si>
  <si>
    <t>incluyendo material informático &lt;60€</t>
  </si>
  <si>
    <t>especificar…</t>
  </si>
  <si>
    <t>D</t>
  </si>
  <si>
    <t>A</t>
  </si>
  <si>
    <t>C</t>
  </si>
  <si>
    <t>=C*D/A</t>
  </si>
  <si>
    <t>Sueldo bruto mensual</t>
  </si>
  <si>
    <t>Sueldo bruto anual</t>
  </si>
  <si>
    <t>(en 14 pagas)</t>
  </si>
  <si>
    <t>COSTE SALARIAL ANUAL</t>
  </si>
  <si>
    <t>COSTE SALARIAL MENSUAL</t>
  </si>
  <si>
    <t>Sueldo bruto</t>
  </si>
  <si>
    <t>Cotizaciones</t>
  </si>
  <si>
    <t>Empresa</t>
  </si>
  <si>
    <t>Empleado</t>
  </si>
  <si>
    <t>Contingencias comunes</t>
  </si>
  <si>
    <t>(descontando el mes de vacaciones)</t>
  </si>
  <si>
    <t>MEI</t>
  </si>
  <si>
    <t>Desempleo</t>
  </si>
  <si>
    <t>Formación profesional</t>
  </si>
  <si>
    <t>AT y EP</t>
  </si>
  <si>
    <t>FOGASA</t>
  </si>
  <si>
    <t>Total</t>
  </si>
  <si>
    <t>+ Cotizaciones</t>
  </si>
  <si>
    <t xml:space="preserve">Coste salarial </t>
  </si>
  <si>
    <t>- Cotizaciones</t>
  </si>
  <si>
    <t>- IRPF</t>
  </si>
  <si>
    <t>Sueldo neto mensual</t>
  </si>
  <si>
    <t>IRPF</t>
  </si>
  <si>
    <t>Hasta</t>
  </si>
  <si>
    <t>€</t>
  </si>
  <si>
    <t>Tipo efectivo</t>
  </si>
  <si>
    <t>Rellenar el sueldo bruto mensual deseado para obtener los costes salariales y el sueldo neto</t>
  </si>
  <si>
    <t>Base máxima</t>
  </si>
  <si>
    <t>mensual</t>
  </si>
  <si>
    <t>anual</t>
  </si>
  <si>
    <t>- Sueldo neto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</si>
</sst>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1];[Red]\-#,##0.0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vertical="center"/>
    </xf>
    <xf numFmtId="0" fontId="5" fillId="0" borderId="0" xfId="1"/>
    <xf numFmtId="0" fontId="6" fillId="0" borderId="0" xfId="1" applyFont="1"/>
    <xf numFmtId="0" fontId="4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10" fontId="3" fillId="3" borderId="4" xfId="3" applyNumberFormat="1" applyFont="1" applyFill="1" applyBorder="1" applyAlignment="1">
      <alignment horizontal="right" vertical="center"/>
    </xf>
    <xf numFmtId="10" fontId="3" fillId="3" borderId="6" xfId="3" applyNumberFormat="1" applyFont="1" applyFill="1" applyBorder="1" applyAlignment="1">
      <alignment horizontal="right" vertical="center"/>
    </xf>
    <xf numFmtId="10" fontId="3" fillId="3" borderId="6" xfId="3" applyNumberFormat="1" applyFont="1" applyFill="1" applyBorder="1" applyAlignment="1">
      <alignment horizontal="right" vertical="center" wrapText="1"/>
    </xf>
    <xf numFmtId="0" fontId="4" fillId="5" borderId="0" xfId="1" applyFont="1" applyFill="1"/>
    <xf numFmtId="10" fontId="4" fillId="6" borderId="6" xfId="3" applyNumberFormat="1" applyFont="1" applyFill="1" applyBorder="1" applyAlignment="1">
      <alignment horizontal="right" vertical="center" wrapText="1"/>
    </xf>
    <xf numFmtId="164" fontId="3" fillId="7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6" borderId="0" xfId="1" applyFont="1" applyFill="1"/>
    <xf numFmtId="0" fontId="5" fillId="6" borderId="0" xfId="1" applyFill="1"/>
    <xf numFmtId="2" fontId="0" fillId="0" borderId="0" xfId="0" applyNumberFormat="1"/>
    <xf numFmtId="44" fontId="0" fillId="0" borderId="0" xfId="2" applyFont="1"/>
    <xf numFmtId="0" fontId="0" fillId="6" borderId="0" xfId="0" applyFill="1"/>
    <xf numFmtId="0" fontId="2" fillId="6" borderId="0" xfId="0" applyFont="1" applyFill="1"/>
    <xf numFmtId="44" fontId="7" fillId="6" borderId="0" xfId="0" applyNumberFormat="1" applyFont="1" applyFill="1"/>
    <xf numFmtId="44" fontId="1" fillId="0" borderId="0" xfId="2" applyFont="1"/>
    <xf numFmtId="0" fontId="2" fillId="0" borderId="0" xfId="0" applyFont="1"/>
    <xf numFmtId="2" fontId="6" fillId="6" borderId="0" xfId="1" applyNumberFormat="1" applyFont="1" applyFill="1" applyAlignment="1">
      <alignment horizontal="right"/>
    </xf>
    <xf numFmtId="44" fontId="7" fillId="6" borderId="0" xfId="0" applyNumberFormat="1" applyFont="1" applyFill="1" applyAlignment="1">
      <alignment horizontal="right"/>
    </xf>
    <xf numFmtId="0" fontId="0" fillId="8" borderId="0" xfId="0" applyFill="1"/>
    <xf numFmtId="0" fontId="0" fillId="0" borderId="0" xfId="0" quotePrefix="1"/>
    <xf numFmtId="0" fontId="3" fillId="0" borderId="2" xfId="0" applyFont="1" applyBorder="1" applyAlignment="1">
      <alignment vertical="center" wrapText="1"/>
    </xf>
    <xf numFmtId="44" fontId="0" fillId="0" borderId="0" xfId="0" applyNumberFormat="1" applyAlignment="1">
      <alignment horizontal="right"/>
    </xf>
    <xf numFmtId="0" fontId="2" fillId="4" borderId="0" xfId="0" applyFont="1" applyFill="1"/>
    <xf numFmtId="10" fontId="2" fillId="4" borderId="0" xfId="0" applyNumberFormat="1" applyFont="1" applyFill="1"/>
    <xf numFmtId="0" fontId="2" fillId="0" borderId="0" xfId="0" quotePrefix="1" applyFont="1"/>
    <xf numFmtId="44" fontId="2" fillId="4" borderId="0" xfId="0" applyNumberFormat="1" applyFont="1" applyFill="1"/>
    <xf numFmtId="10" fontId="0" fillId="0" borderId="0" xfId="3" applyNumberFormat="1" applyFont="1"/>
    <xf numFmtId="44" fontId="7" fillId="0" borderId="0" xfId="2" applyFont="1" applyAlignment="1">
      <alignment horizontal="right"/>
    </xf>
    <xf numFmtId="0" fontId="2" fillId="8" borderId="0" xfId="0" applyFont="1" applyFill="1"/>
    <xf numFmtId="44" fontId="8" fillId="8" borderId="0" xfId="2" applyFont="1" applyFill="1" applyAlignment="1">
      <alignment horizontal="right"/>
    </xf>
    <xf numFmtId="0" fontId="7" fillId="8" borderId="0" xfId="0" applyFont="1" applyFill="1"/>
    <xf numFmtId="0" fontId="5" fillId="8" borderId="0" xfId="1" applyFill="1" applyAlignment="1">
      <alignment horizontal="right"/>
    </xf>
    <xf numFmtId="0" fontId="5" fillId="8" borderId="0" xfId="1" applyFill="1"/>
    <xf numFmtId="44" fontId="0" fillId="9" borderId="0" xfId="0" applyNumberFormat="1" applyFill="1" applyAlignment="1">
      <alignment horizontal="right"/>
    </xf>
    <xf numFmtId="44" fontId="2" fillId="6" borderId="0" xfId="0" applyNumberFormat="1" applyFont="1" applyFill="1" applyAlignment="1">
      <alignment horizontal="right"/>
    </xf>
    <xf numFmtId="44" fontId="9" fillId="6" borderId="0" xfId="0" applyNumberFormat="1" applyFont="1" applyFill="1" applyAlignment="1">
      <alignment horizontal="right"/>
    </xf>
    <xf numFmtId="44" fontId="2" fillId="0" borderId="0" xfId="2" applyFont="1" applyAlignment="1"/>
  </cellXfs>
  <cellStyles count="4">
    <cellStyle name="Moneda" xfId="2" builtinId="4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B9" sqref="B9"/>
    </sheetView>
  </sheetViews>
  <sheetFormatPr baseColWidth="10" defaultRowHeight="14.4" x14ac:dyDescent="0.3"/>
  <cols>
    <col min="1" max="1" width="52.44140625" customWidth="1"/>
    <col min="2" max="2" width="36.44140625" customWidth="1"/>
    <col min="3" max="3" width="10.5546875" customWidth="1"/>
    <col min="4" max="4" width="34" customWidth="1"/>
  </cols>
  <sheetData>
    <row r="1" spans="1:4" x14ac:dyDescent="0.3">
      <c r="A1" s="2" t="s">
        <v>5</v>
      </c>
      <c r="B1" s="41" t="s">
        <v>6</v>
      </c>
    </row>
    <row r="2" spans="1:4" x14ac:dyDescent="0.3">
      <c r="A2" s="3" t="s">
        <v>7</v>
      </c>
      <c r="B2" s="12" t="s">
        <v>8</v>
      </c>
    </row>
    <row r="3" spans="1:4" ht="15" thickBot="1" x14ac:dyDescent="0.35">
      <c r="A3" s="1"/>
      <c r="B3" s="4"/>
      <c r="C3" s="27"/>
    </row>
    <row r="4" spans="1:4" ht="15" thickBot="1" x14ac:dyDescent="0.35">
      <c r="A4" s="11" t="s">
        <v>3</v>
      </c>
      <c r="B4" s="13">
        <f>SUM(B5:B6)</f>
        <v>24000</v>
      </c>
      <c r="C4" s="21">
        <f>SUM(C5:C6)</f>
        <v>0.88888888888888884</v>
      </c>
      <c r="D4" s="24" t="s">
        <v>39</v>
      </c>
    </row>
    <row r="5" spans="1:4" ht="15" thickBot="1" x14ac:dyDescent="0.35">
      <c r="A5" s="10" t="s">
        <v>9</v>
      </c>
      <c r="B5" s="14">
        <v>24000</v>
      </c>
      <c r="C5" s="25">
        <f t="shared" ref="C5:C20" si="0">B5/$B$21</f>
        <v>0.88888888888888884</v>
      </c>
    </row>
    <row r="6" spans="1:4" ht="15" thickBot="1" x14ac:dyDescent="0.35">
      <c r="A6" s="5" t="s">
        <v>2</v>
      </c>
      <c r="B6" s="14">
        <v>0</v>
      </c>
      <c r="C6" s="25">
        <f t="shared" si="0"/>
        <v>0</v>
      </c>
    </row>
    <row r="7" spans="1:4" ht="15" thickBot="1" x14ac:dyDescent="0.35">
      <c r="A7" s="11" t="s">
        <v>4</v>
      </c>
      <c r="B7" s="15">
        <f>SUM(B8:B15)</f>
        <v>2400</v>
      </c>
      <c r="C7" s="22">
        <f t="shared" si="0"/>
        <v>8.8888888888888892E-2</v>
      </c>
    </row>
    <row r="8" spans="1:4" ht="15" thickBot="1" x14ac:dyDescent="0.35">
      <c r="A8" s="6" t="s">
        <v>21</v>
      </c>
      <c r="B8" s="14">
        <v>1500</v>
      </c>
      <c r="C8" s="25">
        <f t="shared" si="0"/>
        <v>5.5555555555555552E-2</v>
      </c>
      <c r="D8" s="39" t="s">
        <v>38</v>
      </c>
    </row>
    <row r="9" spans="1:4" ht="15" thickBot="1" x14ac:dyDescent="0.35">
      <c r="A9" s="6" t="s">
        <v>22</v>
      </c>
      <c r="B9" s="14">
        <v>500</v>
      </c>
      <c r="C9" s="25">
        <f t="shared" si="0"/>
        <v>1.8518518518518517E-2</v>
      </c>
      <c r="D9" s="24" t="s">
        <v>40</v>
      </c>
    </row>
    <row r="10" spans="1:4" ht="15" thickBot="1" x14ac:dyDescent="0.35">
      <c r="A10" s="6" t="s">
        <v>23</v>
      </c>
      <c r="B10" s="14">
        <v>0</v>
      </c>
      <c r="C10" s="25">
        <f t="shared" si="0"/>
        <v>0</v>
      </c>
    </row>
    <row r="11" spans="1:4" ht="15" thickBot="1" x14ac:dyDescent="0.35">
      <c r="A11" s="6" t="s">
        <v>12</v>
      </c>
      <c r="B11" s="14">
        <v>0</v>
      </c>
      <c r="C11" s="25">
        <f t="shared" si="0"/>
        <v>0</v>
      </c>
    </row>
    <row r="12" spans="1:4" ht="15" thickBot="1" x14ac:dyDescent="0.35">
      <c r="A12" s="6" t="s">
        <v>0</v>
      </c>
      <c r="B12" s="14">
        <v>300</v>
      </c>
      <c r="C12" s="25">
        <f t="shared" si="0"/>
        <v>1.1111111111111112E-2</v>
      </c>
    </row>
    <row r="13" spans="1:4" ht="15" thickBot="1" x14ac:dyDescent="0.35">
      <c r="A13" s="6" t="s">
        <v>10</v>
      </c>
      <c r="B13" s="14">
        <v>0</v>
      </c>
      <c r="C13" s="25">
        <f t="shared" si="0"/>
        <v>0</v>
      </c>
    </row>
    <row r="14" spans="1:4" ht="15" thickBot="1" x14ac:dyDescent="0.35">
      <c r="A14" s="6" t="s">
        <v>13</v>
      </c>
      <c r="B14" s="14">
        <v>0</v>
      </c>
      <c r="C14" s="25">
        <f t="shared" si="0"/>
        <v>0</v>
      </c>
    </row>
    <row r="15" spans="1:4" ht="15" thickBot="1" x14ac:dyDescent="0.35">
      <c r="A15" s="6" t="s">
        <v>20</v>
      </c>
      <c r="B15" s="14">
        <v>100</v>
      </c>
      <c r="C15" s="25">
        <f t="shared" si="0"/>
        <v>3.7037037037037038E-3</v>
      </c>
      <c r="D15" s="39" t="s">
        <v>41</v>
      </c>
    </row>
    <row r="16" spans="1:4" ht="15" thickBot="1" x14ac:dyDescent="0.35">
      <c r="A16" s="11" t="s">
        <v>11</v>
      </c>
      <c r="B16" s="15">
        <f>SUM(B17:B20)</f>
        <v>600</v>
      </c>
      <c r="C16" s="22">
        <f t="shared" si="0"/>
        <v>2.2222222222222223E-2</v>
      </c>
    </row>
    <row r="17" spans="1:4" ht="15" thickBot="1" x14ac:dyDescent="0.35">
      <c r="A17" s="6" t="s">
        <v>14</v>
      </c>
      <c r="B17" s="14">
        <v>0</v>
      </c>
      <c r="C17" s="25">
        <f t="shared" si="0"/>
        <v>0</v>
      </c>
    </row>
    <row r="18" spans="1:4" ht="15" thickBot="1" x14ac:dyDescent="0.35">
      <c r="A18" s="6" t="s">
        <v>15</v>
      </c>
      <c r="B18" s="14">
        <v>0</v>
      </c>
      <c r="C18" s="25">
        <f t="shared" si="0"/>
        <v>0</v>
      </c>
    </row>
    <row r="19" spans="1:4" ht="15" thickBot="1" x14ac:dyDescent="0.35">
      <c r="A19" s="6" t="s">
        <v>16</v>
      </c>
      <c r="B19" s="14">
        <v>600</v>
      </c>
      <c r="C19" s="25">
        <f t="shared" si="0"/>
        <v>2.2222222222222223E-2</v>
      </c>
    </row>
    <row r="20" spans="1:4" ht="15" thickBot="1" x14ac:dyDescent="0.35">
      <c r="A20" s="5" t="s">
        <v>17</v>
      </c>
      <c r="B20" s="14">
        <v>0</v>
      </c>
      <c r="C20" s="25">
        <f t="shared" si="0"/>
        <v>0</v>
      </c>
      <c r="D20" s="39" t="s">
        <v>42</v>
      </c>
    </row>
    <row r="21" spans="1:4" ht="15" thickBot="1" x14ac:dyDescent="0.35">
      <c r="A21" s="17" t="s">
        <v>18</v>
      </c>
      <c r="B21" s="16">
        <f>SUM(B4,B7,B16)</f>
        <v>27000</v>
      </c>
      <c r="C21" s="23">
        <v>1</v>
      </c>
    </row>
    <row r="22" spans="1:4" ht="15" thickBot="1" x14ac:dyDescent="0.35">
      <c r="A22" s="7" t="s">
        <v>1</v>
      </c>
      <c r="B22" s="26">
        <f>B21*21/100</f>
        <v>5670</v>
      </c>
    </row>
    <row r="23" spans="1:4" ht="15" thickBot="1" x14ac:dyDescent="0.35">
      <c r="A23" s="7" t="s">
        <v>19</v>
      </c>
      <c r="B23" s="16">
        <f>SUM(B22,B21)</f>
        <v>32670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F489-93D2-4B79-9C00-29A866631C69}">
  <dimension ref="B3:L26"/>
  <sheetViews>
    <sheetView tabSelected="1" workbookViewId="0">
      <selection activeCell="B25" sqref="B25"/>
    </sheetView>
  </sheetViews>
  <sheetFormatPr baseColWidth="10" defaultRowHeight="14.4" x14ac:dyDescent="0.3"/>
  <cols>
    <col min="2" max="2" width="25.33203125" customWidth="1"/>
    <col min="3" max="3" width="15.44140625" style="20" customWidth="1"/>
    <col min="4" max="4" width="15.44140625" customWidth="1"/>
    <col min="6" max="6" width="24.5546875" customWidth="1"/>
    <col min="7" max="7" width="12.77734375" bestFit="1" customWidth="1"/>
    <col min="11" max="11" width="12.77734375" bestFit="1" customWidth="1"/>
    <col min="12" max="12" width="13.21875" customWidth="1"/>
  </cols>
  <sheetData>
    <row r="3" spans="2:12" x14ac:dyDescent="0.3">
      <c r="B3" s="9" t="s">
        <v>24</v>
      </c>
      <c r="C3" s="52">
        <v>4</v>
      </c>
      <c r="D3" s="53" t="s">
        <v>25</v>
      </c>
    </row>
    <row r="4" spans="2:12" x14ac:dyDescent="0.3">
      <c r="B4" s="9" t="s">
        <v>26</v>
      </c>
      <c r="C4" s="52">
        <v>2</v>
      </c>
      <c r="D4" s="53" t="s">
        <v>27</v>
      </c>
    </row>
    <row r="5" spans="2:12" x14ac:dyDescent="0.3">
      <c r="B5" s="28" t="s">
        <v>28</v>
      </c>
      <c r="C5" s="37">
        <f>C3*C4</f>
        <v>8</v>
      </c>
      <c r="D5" s="29" t="s">
        <v>29</v>
      </c>
      <c r="E5" s="30">
        <f>C5/11</f>
        <v>0.72727272727272729</v>
      </c>
      <c r="F5" t="s">
        <v>30</v>
      </c>
    </row>
    <row r="6" spans="2:12" x14ac:dyDescent="0.3">
      <c r="B6" t="s">
        <v>31</v>
      </c>
      <c r="C6" s="57">
        <f>C13</f>
        <v>2999.5454545454545</v>
      </c>
      <c r="D6" t="s">
        <v>32</v>
      </c>
    </row>
    <row r="7" spans="2:12" x14ac:dyDescent="0.3">
      <c r="B7" s="33" t="s">
        <v>33</v>
      </c>
      <c r="C7" s="38">
        <f>C5*C6</f>
        <v>23996.363636363636</v>
      </c>
      <c r="D7" s="33"/>
    </row>
    <row r="10" spans="2:12" x14ac:dyDescent="0.3">
      <c r="B10" s="49" t="s">
        <v>47</v>
      </c>
      <c r="C10" s="50">
        <f>25000/14</f>
        <v>1785.7142857142858</v>
      </c>
      <c r="D10" s="51" t="s">
        <v>73</v>
      </c>
      <c r="E10" s="39"/>
      <c r="F10" s="39"/>
      <c r="G10" s="39"/>
      <c r="H10" s="39"/>
      <c r="I10" s="39"/>
      <c r="J10" s="39"/>
      <c r="K10" s="39"/>
      <c r="L10" s="39"/>
    </row>
    <row r="11" spans="2:12" x14ac:dyDescent="0.3">
      <c r="B11" s="36" t="s">
        <v>48</v>
      </c>
      <c r="C11" s="54">
        <f>C10*14</f>
        <v>25000</v>
      </c>
      <c r="D11" t="s">
        <v>49</v>
      </c>
    </row>
    <row r="12" spans="2:12" x14ac:dyDescent="0.3">
      <c r="B12" s="36" t="s">
        <v>50</v>
      </c>
      <c r="C12" s="42">
        <f>C19</f>
        <v>32995</v>
      </c>
    </row>
    <row r="13" spans="2:12" x14ac:dyDescent="0.3">
      <c r="B13" s="36" t="s">
        <v>51</v>
      </c>
      <c r="C13" s="48">
        <f>C12/11</f>
        <v>2999.5454545454545</v>
      </c>
      <c r="D13" t="s">
        <v>57</v>
      </c>
    </row>
    <row r="16" spans="2:12" x14ac:dyDescent="0.3">
      <c r="B16" s="36"/>
      <c r="F16" s="43" t="s">
        <v>53</v>
      </c>
      <c r="G16" s="43" t="s">
        <v>54</v>
      </c>
      <c r="H16" s="43" t="s">
        <v>55</v>
      </c>
      <c r="J16" s="43" t="s">
        <v>69</v>
      </c>
      <c r="K16" s="43" t="s">
        <v>70</v>
      </c>
      <c r="L16" s="43" t="s">
        <v>71</v>
      </c>
    </row>
    <row r="17" spans="2:12" x14ac:dyDescent="0.3">
      <c r="B17" s="36" t="s">
        <v>52</v>
      </c>
      <c r="C17" s="42">
        <f>C11</f>
        <v>25000</v>
      </c>
      <c r="F17" t="s">
        <v>56</v>
      </c>
      <c r="G17" s="19">
        <v>0.23599999999999999</v>
      </c>
      <c r="H17" s="19">
        <v>4.7E-2</v>
      </c>
      <c r="J17" s="18">
        <v>0.19</v>
      </c>
      <c r="K17" s="31">
        <v>12450</v>
      </c>
      <c r="L17" s="31">
        <f>IF($C$17&gt;K17, J17*K17, J17*$C$17)</f>
        <v>2365.5</v>
      </c>
    </row>
    <row r="18" spans="2:12" x14ac:dyDescent="0.3">
      <c r="B18" s="45" t="s">
        <v>64</v>
      </c>
      <c r="C18" s="42">
        <f>MIN(C17,G26)*D18</f>
        <v>7995.0000000000009</v>
      </c>
      <c r="D18" s="19">
        <f>G23</f>
        <v>0.31980000000000003</v>
      </c>
      <c r="F18" t="s">
        <v>58</v>
      </c>
      <c r="G18" s="19">
        <v>5.7999999999999996E-3</v>
      </c>
      <c r="H18" s="19">
        <v>1.1999999999999999E-3</v>
      </c>
      <c r="J18" s="18">
        <v>0.24</v>
      </c>
      <c r="K18" s="31">
        <v>20200</v>
      </c>
      <c r="L18" s="31">
        <f>IF($C$17&gt;K17, J18*(MIN(K18,$C$17)-K17), "")</f>
        <v>1860</v>
      </c>
    </row>
    <row r="19" spans="2:12" x14ac:dyDescent="0.3">
      <c r="B19" s="33" t="s">
        <v>65</v>
      </c>
      <c r="C19" s="55">
        <f>C17+C18</f>
        <v>32995</v>
      </c>
      <c r="D19" s="32"/>
      <c r="F19" t="s">
        <v>59</v>
      </c>
      <c r="G19" s="19">
        <v>5.5E-2</v>
      </c>
      <c r="H19" s="19">
        <v>1.55E-2</v>
      </c>
      <c r="J19" s="18">
        <v>0.3</v>
      </c>
      <c r="K19" s="31">
        <v>35200</v>
      </c>
      <c r="L19" s="31">
        <f t="shared" ref="L19:L21" si="0">IF($C$17&gt;K18, J19*(MIN(K19,$C$17)-K18), "")</f>
        <v>1440</v>
      </c>
    </row>
    <row r="20" spans="2:12" x14ac:dyDescent="0.3">
      <c r="F20" t="s">
        <v>60</v>
      </c>
      <c r="G20" s="19">
        <v>6.0000000000000001E-3</v>
      </c>
      <c r="H20" s="19">
        <v>1E-3</v>
      </c>
      <c r="J20" s="18">
        <v>0.37</v>
      </c>
      <c r="K20" s="31">
        <v>60000</v>
      </c>
      <c r="L20" s="31" t="str">
        <f t="shared" si="0"/>
        <v/>
      </c>
    </row>
    <row r="21" spans="2:12" x14ac:dyDescent="0.3">
      <c r="B21" s="36" t="s">
        <v>47</v>
      </c>
      <c r="C21" s="42">
        <f>C17/14</f>
        <v>1785.7142857142858</v>
      </c>
      <c r="F21" t="s">
        <v>61</v>
      </c>
      <c r="G21" s="19">
        <v>1.4999999999999999E-2</v>
      </c>
      <c r="H21" s="19"/>
      <c r="J21" s="18">
        <v>0.45</v>
      </c>
      <c r="K21" s="31">
        <v>300000</v>
      </c>
      <c r="L21" s="31" t="str">
        <f t="shared" si="0"/>
        <v/>
      </c>
    </row>
    <row r="22" spans="2:12" x14ac:dyDescent="0.3">
      <c r="B22" s="45" t="s">
        <v>66</v>
      </c>
      <c r="C22" s="42">
        <f>C21*D22</f>
        <v>115.53571428571431</v>
      </c>
      <c r="D22" s="19">
        <f>H23</f>
        <v>6.4700000000000008E-2</v>
      </c>
      <c r="F22" t="s">
        <v>62</v>
      </c>
      <c r="G22" s="19">
        <v>2E-3</v>
      </c>
      <c r="J22" s="18">
        <v>0.47</v>
      </c>
      <c r="L22" s="31" t="str">
        <f>IF($C$17&gt;K21, J22*($C$17-K21), "")</f>
        <v/>
      </c>
    </row>
    <row r="23" spans="2:12" x14ac:dyDescent="0.3">
      <c r="B23" s="45" t="s">
        <v>67</v>
      </c>
      <c r="C23" s="42">
        <f>C21*D23</f>
        <v>404.67857142857144</v>
      </c>
      <c r="D23" s="19">
        <f>L24</f>
        <v>0.22661999999999999</v>
      </c>
      <c r="F23" s="43" t="s">
        <v>63</v>
      </c>
      <c r="G23" s="44">
        <f>SUM(G17:G22)</f>
        <v>0.31980000000000003</v>
      </c>
      <c r="H23" s="44">
        <f>SUM(H17:H22)</f>
        <v>6.4700000000000008E-2</v>
      </c>
      <c r="J23" s="43" t="s">
        <v>63</v>
      </c>
      <c r="K23" s="44"/>
      <c r="L23" s="46">
        <f>SUM(L17:L22)</f>
        <v>5665.5</v>
      </c>
    </row>
    <row r="24" spans="2:12" x14ac:dyDescent="0.3">
      <c r="B24" s="33" t="s">
        <v>68</v>
      </c>
      <c r="C24" s="56">
        <f>C21-C22-C23</f>
        <v>1265.5</v>
      </c>
      <c r="D24" s="32"/>
      <c r="K24" t="s">
        <v>72</v>
      </c>
      <c r="L24" s="47">
        <f>L23/C17</f>
        <v>0.22661999999999999</v>
      </c>
    </row>
    <row r="25" spans="2:12" x14ac:dyDescent="0.3">
      <c r="B25" s="40" t="s">
        <v>77</v>
      </c>
      <c r="C25" s="42">
        <f>C24*14</f>
        <v>17717</v>
      </c>
      <c r="F25" t="s">
        <v>74</v>
      </c>
      <c r="G25" s="31">
        <v>4720.5</v>
      </c>
      <c r="H25" t="s">
        <v>75</v>
      </c>
    </row>
    <row r="26" spans="2:12" x14ac:dyDescent="0.3">
      <c r="G26" s="31">
        <f>G25*12</f>
        <v>56646</v>
      </c>
      <c r="H26" t="s">
        <v>76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0961-F369-4A6B-BFE7-F99BE3CE1A72}">
  <dimension ref="A3:E6"/>
  <sheetViews>
    <sheetView workbookViewId="0">
      <selection activeCell="B11" sqref="B11"/>
    </sheetView>
  </sheetViews>
  <sheetFormatPr baseColWidth="10" defaultRowHeight="14.4" x14ac:dyDescent="0.3"/>
  <cols>
    <col min="2" max="2" width="30.21875" customWidth="1"/>
    <col min="3" max="3" width="14.5546875" customWidth="1"/>
  </cols>
  <sheetData>
    <row r="3" spans="1:5" x14ac:dyDescent="0.3">
      <c r="A3" s="20" t="s">
        <v>43</v>
      </c>
      <c r="B3" s="9" t="s">
        <v>24</v>
      </c>
      <c r="C3" s="9">
        <v>4</v>
      </c>
      <c r="D3" s="8" t="s">
        <v>25</v>
      </c>
    </row>
    <row r="4" spans="1:5" x14ac:dyDescent="0.3">
      <c r="A4" s="20" t="s">
        <v>45</v>
      </c>
      <c r="B4" s="9" t="s">
        <v>34</v>
      </c>
      <c r="C4" s="35">
        <v>6000</v>
      </c>
      <c r="D4" s="8"/>
    </row>
    <row r="5" spans="1:5" x14ac:dyDescent="0.3">
      <c r="A5" s="20" t="s">
        <v>44</v>
      </c>
      <c r="B5" s="36" t="s">
        <v>35</v>
      </c>
      <c r="C5" s="9">
        <v>48</v>
      </c>
      <c r="D5" t="s">
        <v>25</v>
      </c>
      <c r="E5" t="s">
        <v>36</v>
      </c>
    </row>
    <row r="6" spans="1:5" x14ac:dyDescent="0.3">
      <c r="B6" s="33" t="s">
        <v>37</v>
      </c>
      <c r="C6" s="34">
        <f>C4*C3/C5</f>
        <v>500</v>
      </c>
      <c r="D6" s="4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</vt:lpstr>
      <vt:lpstr>Personal</vt:lpstr>
      <vt:lpstr>Amortizaciones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Cordovilla</dc:creator>
  <cp:lastModifiedBy>Fernando Berzal</cp:lastModifiedBy>
  <dcterms:created xsi:type="dcterms:W3CDTF">2021-03-11T13:08:05Z</dcterms:created>
  <dcterms:modified xsi:type="dcterms:W3CDTF">2024-02-20T12:00:22Z</dcterms:modified>
</cp:coreProperties>
</file>